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C:\Users\CHI-FOU-MI\Dropbox\CFM_Comptabilité\Chi-Fou-Mi Productions\CHIFOUMI\CFM - BILANS\CFM - BILAN 2023\CFM - ZAD PRESTATION 2023\"/>
    </mc:Choice>
  </mc:AlternateContent>
  <xr:revisionPtr revIDLastSave="0" documentId="13_ncr:1_{E8F4570C-9910-4881-BAA0-204500A8B68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CVAE TAUX 30.09.2023 " sheetId="11" r:id="rId1"/>
  </sheets>
  <externalReferences>
    <externalReference r:id="rId2"/>
    <externalReference r:id="rId3"/>
    <externalReference r:id="rId4"/>
    <externalReference r:id="rId5"/>
  </externalReferences>
  <definedNames>
    <definedName name="__1Excel_BuiltIn_Print_Area_4_1_1" localSheetId="0">#REF!</definedName>
    <definedName name="__1Excel_BuiltIn_Print_Area_4_1_1">#REF!</definedName>
    <definedName name="_1Excel_BuiltIn_Print_Area_4_1_1" localSheetId="0">#REF!</definedName>
    <definedName name="_1Excel_BuiltIn_Print_Area_4_1_1">#REF!</definedName>
    <definedName name="AAAD6J" localSheetId="0">#REF!</definedName>
    <definedName name="AAAD6J">#REF!</definedName>
    <definedName name="AAADT">'[1]Annexe 2'!$F$22</definedName>
    <definedName name="AAADTH">#REF!</definedName>
    <definedName name="AD6J">#REF!</definedName>
    <definedName name="AS6J">'[1]Annexe 2'!$M$21</definedName>
    <definedName name="assmon">[2]Generalites!$D$60</definedName>
    <definedName name="AST">'[1]Annexe 2'!$F$21</definedName>
    <definedName name="ASTH">'[1]Annexe 2'!$G$21</definedName>
    <definedName name="bruit">[2]Generalites!$I$61</definedName>
    <definedName name="Devis050902">#REF!</definedName>
    <definedName name="directs">[2]Generalites!$D$64</definedName>
    <definedName name="EQ">#N/A</definedName>
    <definedName name="Excel_BuiltIn_Print_Area_4">#REF!</definedName>
    <definedName name="Excel_BuiltIn_Print_Area_4_1">#REF!</definedName>
    <definedName name="Excel_BuiltIn_Print_Area_4_1_1">#REF!</definedName>
    <definedName name="Excel_BuiltIn_Print_Area_4_1_1_1">#REF!</definedName>
    <definedName name="Excel_BuiltIn_Print_Area_4_1_1_1_1">#REF!</definedName>
    <definedName name="Excel_BuiltIn_Print_Area_4_1_1_1_1_1">#REF!</definedName>
    <definedName name="Excel_BuiltIn_Print_Area_4_1_1_1_1_1_1">#REF!</definedName>
    <definedName name="Excel_BuiltIn_Print_Area_5_1">#REF!</definedName>
    <definedName name="Excel_BuiltIn_Print_Area_5_1_1">#REF!</definedName>
    <definedName name="Excel_BuiltIn_Print_Area_5_1_1_1">#REF!</definedName>
    <definedName name="Excel_BuiltIn_Print_Area_5_1_1_1_1">#REF!</definedName>
    <definedName name="Excel_BuiltIn_Print_Area_5_1_1_1_1_1">#REF!</definedName>
    <definedName name="HN">[2]Generalites!$D$41</definedName>
    <definedName name="HS">#N/A</definedName>
    <definedName name="Hsupp">[2]Generalites!$D$42</definedName>
    <definedName name="HT">[2]Generalites!$D$48</definedName>
    <definedName name="J">#N/A</definedName>
    <definedName name="JF">#N/A</definedName>
    <definedName name="JFC">[2]Generalites!$I$24</definedName>
    <definedName name="JFCC">[3]Generalites!$I$38</definedName>
    <definedName name="JFP">[2]Generalites!$I$23</definedName>
    <definedName name="JFT">[2]Generalites!$I$25</definedName>
    <definedName name="JNT">'[4]DEVIS Type Long'!$H$26</definedName>
    <definedName name="JO">#REF!</definedName>
    <definedName name="JPACA">[2]Generalites!$I$41</definedName>
    <definedName name="JPAYS">[3]Generalites!$I$44</definedName>
    <definedName name="JT">[2]Generalites!$D$38</definedName>
    <definedName name="JTHDF">[2]Generalites!$I$39</definedName>
    <definedName name="JTPACA">[2]Generalites!$I$41</definedName>
    <definedName name="mix">[2]Generalites!$I$64</definedName>
    <definedName name="mixtotal">[2]Generalites!$I$67</definedName>
    <definedName name="Montage">[2]Generalites!$D$59</definedName>
    <definedName name="NBJ">#REF!</definedName>
    <definedName name="NBS">#REF!</definedName>
    <definedName name="NHN">#REF!</definedName>
    <definedName name="NHS">#REF!</definedName>
    <definedName name="NS">#N/A</definedName>
    <definedName name="NTS">'[1]Annexe 2'!$C$16</definedName>
    <definedName name="PAYS">[3]Generalites!$I$45</definedName>
    <definedName name="Pays1">[2]Parametres!$F$66</definedName>
    <definedName name="Pays2">[2]Parametres!$F$67</definedName>
    <definedName name="Pays3">[2]Parametres!$F$68</definedName>
    <definedName name="Pays4">[2]Parametres!$F$69</definedName>
    <definedName name="Pays5">[2]Parametres!$F$70</definedName>
    <definedName name="post">[2]Generalites!$I$60</definedName>
    <definedName name="prépa">[2]Generalites!$D$29</definedName>
    <definedName name="prépaIDF">[2]Generalites!$D$31</definedName>
    <definedName name="S">#N/A</definedName>
    <definedName name="SHM">#REF!</definedName>
    <definedName name="T5jrs">[2]Generalites!$D$39</definedName>
    <definedName name="T6jrs">[2]Generalites!$D$40</definedName>
    <definedName name="TB">'[4]DEVIS Type Long'!$G$22</definedName>
    <definedName name="TC">#REF!</definedName>
    <definedName name="THT">#N/A</definedName>
    <definedName name="TIDF">[2]Generalites!$D$45</definedName>
    <definedName name="TP">#N/A</definedName>
    <definedName name="TPAYS1">[2]Generalites!$I$45</definedName>
    <definedName name="TPAYS2">[2]Generalites!$I$47</definedName>
    <definedName name="VI">[2]Generalites!$I$65</definedName>
    <definedName name="VT">#N/A</definedName>
    <definedName name="_xlnm.Print_Area" localSheetId="0">'CVAE TAUX 30.09.2023 '!$A$1:$G$57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5" i="11" l="1"/>
  <c r="G5" i="11"/>
  <c r="G19" i="11"/>
  <c r="C20" i="11"/>
  <c r="C26" i="11"/>
  <c r="C9" i="11"/>
  <c r="C24" i="11"/>
  <c r="C21" i="11" l="1"/>
  <c r="C46" i="11" l="1"/>
  <c r="D19" i="11"/>
  <c r="G17" i="11"/>
  <c r="C17" i="11" s="1"/>
  <c r="D5" i="11" s="1"/>
  <c r="E10" i="11"/>
  <c r="C50" i="11"/>
  <c r="D29" i="11" l="1"/>
  <c r="E25" i="11"/>
  <c r="C51" i="11"/>
  <c r="C43" i="11"/>
  <c r="C44" i="11"/>
  <c r="C30" i="11"/>
  <c r="D51" i="11" l="1"/>
  <c r="D50" i="11"/>
  <c r="D55" i="11" l="1"/>
  <c r="D52" i="11"/>
  <c r="D32" i="11" s="1"/>
  <c r="D56" i="11"/>
  <c r="D57" i="11" l="1"/>
  <c r="E57" i="11" s="1"/>
  <c r="D33" i="11"/>
  <c r="D34" i="11" s="1"/>
  <c r="D35" i="11" s="1"/>
  <c r="D39" i="11" l="1"/>
  <c r="B39" i="11"/>
</calcChain>
</file>

<file path=xl/sharedStrings.xml><?xml version="1.0" encoding="utf-8"?>
<sst xmlns="http://schemas.openxmlformats.org/spreadsheetml/2006/main" count="56" uniqueCount="54">
  <si>
    <t>LA TAXE EST DUE SI LE CA &gt; 152 500 €</t>
  </si>
  <si>
    <t>BALANCE GENERALE</t>
  </si>
  <si>
    <t>REGLEMENTATION FISCALE</t>
  </si>
  <si>
    <t>PRODUITS (A)</t>
  </si>
  <si>
    <t>PRESTATIONS</t>
  </si>
  <si>
    <t>RECETTES "PRODUCTION"</t>
  </si>
  <si>
    <t>RECETTES "DISTRIBUTION"</t>
  </si>
  <si>
    <t>REFACTURATIONS DIVERSES</t>
  </si>
  <si>
    <t>TOTAL DU CA</t>
  </si>
  <si>
    <t>AUTRES DROITS - SOFICA</t>
  </si>
  <si>
    <t>PRODUITS DIVERS GESTION COURANTE</t>
  </si>
  <si>
    <t>TRANSFERT DE CHARGES</t>
  </si>
  <si>
    <t>AUTRES</t>
  </si>
  <si>
    <t>CHARGES (B)</t>
  </si>
  <si>
    <t>ACHATS</t>
  </si>
  <si>
    <t>SERVICES EXTERIEURS</t>
  </si>
  <si>
    <t>LOCATIONS IMMOBILIERES &gt; 6 MOIS</t>
  </si>
  <si>
    <t>LOCATIONS DE VOITURES &gt; 6 MOIS</t>
  </si>
  <si>
    <t>AUTRES SERVICES EXTERIEURS</t>
  </si>
  <si>
    <t>TOTAL DES ACHATS/CHARGES EXTERNES</t>
  </si>
  <si>
    <t>AUTRES CHARGES</t>
  </si>
  <si>
    <t>CHARGES DE COPRODUCTION</t>
  </si>
  <si>
    <t>VALEUR AJOUTEE PRODUITE (A - B)</t>
  </si>
  <si>
    <t>TAUX A APPLIQUER (*)</t>
  </si>
  <si>
    <t>CVAE CALCULEE</t>
  </si>
  <si>
    <t xml:space="preserve">Si CA de référence &lt; </t>
  </si>
  <si>
    <t>TAXE ADDITIONNELLE</t>
  </si>
  <si>
    <t xml:space="preserve">FRAIS DE GESTION </t>
  </si>
  <si>
    <t>CVAE DUE</t>
  </si>
  <si>
    <t xml:space="preserve">(*) </t>
  </si>
  <si>
    <t>Si CA</t>
  </si>
  <si>
    <t>TAUX</t>
  </si>
  <si>
    <t>&lt; 500.000 €</t>
  </si>
  <si>
    <t>500.000 € &lt; CA &lt; 3.000.000 €</t>
  </si>
  <si>
    <t>3.000.000 € &lt; CA &lt; 10.000.000 €</t>
  </si>
  <si>
    <t>10.000.000 € &lt; CA &lt; 50.000.000 €</t>
  </si>
  <si>
    <t>&gt; 50.000.000 €</t>
  </si>
  <si>
    <t>LIMITATION DE LA VALEUR AJOUTEE</t>
  </si>
  <si>
    <t>BASE</t>
  </si>
  <si>
    <t>CVAE BRUTE</t>
  </si>
  <si>
    <t>&lt;= 7.600.000 €</t>
  </si>
  <si>
    <t>&gt; 7.600.000 €</t>
  </si>
  <si>
    <t>Si CA DE REFERENCE</t>
  </si>
  <si>
    <t>&lt; 2.000.000 €</t>
  </si>
  <si>
    <t>&gt;= 2.000.000 €</t>
  </si>
  <si>
    <t>PRODUITS CESSIONS IMMO. INCORP.</t>
  </si>
  <si>
    <t>Taux société</t>
  </si>
  <si>
    <t>SUBVENTIONS CNC</t>
  </si>
  <si>
    <t>SUBVENTIONS REGIONS</t>
  </si>
  <si>
    <t>Contrôle avec "Suivi du financement"</t>
  </si>
  <si>
    <t>Contrôle avec BG et FNP</t>
  </si>
  <si>
    <t>ZONE A DEFENDRE</t>
  </si>
  <si>
    <t>PROVISION FAITE EN 2022</t>
  </si>
  <si>
    <t>Provision acceptée par Disney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</si>
</sst>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%"/>
  </numFmts>
  <fonts count="3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2"/>
    </font>
    <font>
      <sz val="12"/>
      <color theme="1"/>
      <name val="Times New Roman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8"/>
      <color indexed="8"/>
      <name val="Times New Roman"/>
      <family val="1"/>
    </font>
    <font>
      <sz val="8"/>
      <color theme="1"/>
      <name val="Times New Roman"/>
      <family val="1"/>
    </font>
    <font>
      <b/>
      <sz val="5"/>
      <color indexed="8"/>
      <name val="Times New Roman"/>
      <family val="1"/>
    </font>
    <font>
      <sz val="8"/>
      <name val="Times New Roman"/>
      <family val="1"/>
    </font>
    <font>
      <sz val="8"/>
      <color indexed="10"/>
      <name val="Times New Roman"/>
      <family val="1"/>
    </font>
    <font>
      <sz val="11"/>
      <color indexed="8"/>
      <name val="Calibri"/>
      <family val="2"/>
    </font>
    <font>
      <sz val="8"/>
      <color indexed="8"/>
      <name val="Times New Roman"/>
      <family val="1"/>
    </font>
    <font>
      <b/>
      <sz val="8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b/>
      <sz val="8"/>
      <color rgb="FFC00000"/>
      <name val="Times New Roman"/>
      <family val="1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59999389629810485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/>
    <xf numFmtId="0" fontId="4" fillId="0" borderId="0" applyNumberFormat="0" applyFill="0" applyBorder="0" applyAlignment="0" applyProtection="0"/>
    <xf numFmtId="0" fontId="5" fillId="0" borderId="1" applyNumberFormat="0" applyFill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7" fillId="0" borderId="0" applyNumberFormat="0" applyFill="0" applyBorder="0" applyAlignment="0" applyProtection="0"/>
    <xf numFmtId="0" fontId="8" fillId="2" borderId="0" applyNumberFormat="0" applyBorder="0" applyAlignment="0" applyProtection="0"/>
    <xf numFmtId="0" fontId="9" fillId="3" borderId="0" applyNumberFormat="0" applyBorder="0" applyAlignment="0" applyProtection="0"/>
    <xf numFmtId="0" fontId="10" fillId="4" borderId="0" applyNumberFormat="0" applyBorder="0" applyAlignment="0" applyProtection="0"/>
    <xf numFmtId="0" fontId="11" fillId="5" borderId="4" applyNumberFormat="0" applyAlignment="0" applyProtection="0"/>
    <xf numFmtId="0" fontId="12" fillId="6" borderId="5" applyNumberFormat="0" applyAlignment="0" applyProtection="0"/>
    <xf numFmtId="0" fontId="13" fillId="6" borderId="4" applyNumberFormat="0" applyAlignment="0" applyProtection="0"/>
    <xf numFmtId="0" fontId="14" fillId="0" borderId="6" applyNumberFormat="0" applyFill="0" applyAlignment="0" applyProtection="0"/>
    <xf numFmtId="0" fontId="15" fillId="7" borderId="7" applyNumberFormat="0" applyAlignment="0" applyProtection="0"/>
    <xf numFmtId="0" fontId="16" fillId="0" borderId="0" applyNumberFormat="0" applyFill="0" applyBorder="0" applyAlignment="0" applyProtection="0"/>
    <xf numFmtId="0" fontId="3" fillId="8" borderId="8" applyNumberFormat="0" applyFont="0" applyAlignment="0" applyProtection="0"/>
    <xf numFmtId="0" fontId="17" fillId="0" borderId="0" applyNumberFormat="0" applyFill="0" applyBorder="0" applyAlignment="0" applyProtection="0"/>
    <xf numFmtId="0" fontId="18" fillId="0" borderId="9" applyNumberFormat="0" applyFill="0" applyAlignment="0" applyProtection="0"/>
    <xf numFmtId="0" fontId="19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19" fillId="32" borderId="0" applyNumberFormat="0" applyBorder="0" applyAlignment="0" applyProtection="0"/>
    <xf numFmtId="9" fontId="25" fillId="0" borderId="0" applyFont="0" applyFill="0" applyBorder="0" applyAlignment="0" applyProtection="0"/>
    <xf numFmtId="0" fontId="2" fillId="0" borderId="0"/>
    <xf numFmtId="0" fontId="1" fillId="0" borderId="0"/>
    <xf numFmtId="0" fontId="29" fillId="0" borderId="0"/>
  </cellStyleXfs>
  <cellXfs count="59">
    <xf numFmtId="0" fontId="0" fillId="0" borderId="0" xfId="0"/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3" fontId="21" fillId="0" borderId="0" xfId="0" applyNumberFormat="1" applyFont="1" applyAlignment="1">
      <alignment vertical="center"/>
    </xf>
    <xf numFmtId="3" fontId="21" fillId="0" borderId="14" xfId="0" applyNumberFormat="1" applyFont="1" applyBorder="1" applyAlignment="1">
      <alignment vertical="center"/>
    </xf>
    <xf numFmtId="0" fontId="24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10" fontId="26" fillId="0" borderId="14" xfId="42" applyNumberFormat="1" applyFont="1" applyBorder="1" applyAlignment="1">
      <alignment vertical="center"/>
    </xf>
    <xf numFmtId="0" fontId="21" fillId="0" borderId="12" xfId="0" applyFont="1" applyBorder="1" applyAlignment="1">
      <alignment vertical="center"/>
    </xf>
    <xf numFmtId="10" fontId="26" fillId="0" borderId="15" xfId="42" applyNumberFormat="1" applyFont="1" applyBorder="1" applyAlignment="1">
      <alignment vertical="center"/>
    </xf>
    <xf numFmtId="0" fontId="2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164" fontId="26" fillId="0" borderId="15" xfId="42" applyNumberFormat="1" applyFont="1" applyBorder="1" applyAlignment="1">
      <alignment horizontal="right" vertical="center"/>
    </xf>
    <xf numFmtId="9" fontId="26" fillId="0" borderId="15" xfId="42" applyFont="1" applyBorder="1" applyAlignment="1">
      <alignment horizontal="right" vertical="center"/>
    </xf>
    <xf numFmtId="0" fontId="26" fillId="0" borderId="0" xfId="0" applyFont="1" applyAlignment="1">
      <alignment vertical="center"/>
    </xf>
    <xf numFmtId="10" fontId="26" fillId="0" borderId="0" xfId="42" applyNumberFormat="1" applyFont="1" applyBorder="1" applyAlignment="1">
      <alignment vertical="center"/>
    </xf>
    <xf numFmtId="3" fontId="26" fillId="0" borderId="0" xfId="0" applyNumberFormat="1" applyFont="1" applyAlignment="1">
      <alignment vertical="center"/>
    </xf>
    <xf numFmtId="0" fontId="26" fillId="0" borderId="0" xfId="0" applyFont="1" applyAlignment="1">
      <alignment horizontal="right" vertical="center"/>
    </xf>
    <xf numFmtId="0" fontId="21" fillId="0" borderId="15" xfId="0" applyFont="1" applyBorder="1" applyAlignment="1">
      <alignment vertical="center"/>
    </xf>
    <xf numFmtId="3" fontId="21" fillId="0" borderId="15" xfId="0" applyNumberFormat="1" applyFont="1" applyBorder="1" applyAlignment="1">
      <alignment horizontal="center" vertical="center"/>
    </xf>
    <xf numFmtId="4" fontId="21" fillId="0" borderId="15" xfId="0" applyNumberFormat="1" applyFont="1" applyBorder="1" applyAlignment="1">
      <alignment vertical="center"/>
    </xf>
    <xf numFmtId="10" fontId="21" fillId="0" borderId="15" xfId="42" applyNumberFormat="1" applyFont="1" applyFill="1" applyBorder="1" applyAlignment="1">
      <alignment vertical="center"/>
    </xf>
    <xf numFmtId="0" fontId="21" fillId="33" borderId="15" xfId="0" applyFont="1" applyFill="1" applyBorder="1" applyAlignment="1">
      <alignment vertical="center"/>
    </xf>
    <xf numFmtId="10" fontId="21" fillId="33" borderId="15" xfId="42" applyNumberFormat="1" applyFont="1" applyFill="1" applyBorder="1" applyAlignment="1">
      <alignment vertical="center"/>
    </xf>
    <xf numFmtId="4" fontId="21" fillId="0" borderId="0" xfId="0" applyNumberFormat="1" applyFont="1" applyAlignment="1">
      <alignment vertical="center"/>
    </xf>
    <xf numFmtId="10" fontId="21" fillId="0" borderId="15" xfId="42" applyNumberFormat="1" applyFont="1" applyBorder="1" applyAlignment="1">
      <alignment vertical="center"/>
    </xf>
    <xf numFmtId="0" fontId="27" fillId="0" borderId="0" xfId="0" applyFont="1" applyAlignment="1">
      <alignment vertical="center"/>
    </xf>
    <xf numFmtId="3" fontId="21" fillId="0" borderId="15" xfId="0" applyNumberFormat="1" applyFont="1" applyBorder="1" applyAlignment="1">
      <alignment vertical="center"/>
    </xf>
    <xf numFmtId="0" fontId="21" fillId="0" borderId="11" xfId="0" applyFont="1" applyBorder="1" applyAlignment="1">
      <alignment vertical="center"/>
    </xf>
    <xf numFmtId="3" fontId="21" fillId="0" borderId="13" xfId="0" applyNumberFormat="1" applyFont="1" applyBorder="1" applyAlignment="1">
      <alignment vertical="center"/>
    </xf>
    <xf numFmtId="3" fontId="21" fillId="34" borderId="15" xfId="0" applyNumberFormat="1" applyFont="1" applyFill="1" applyBorder="1" applyAlignment="1">
      <alignment vertical="center"/>
    </xf>
    <xf numFmtId="0" fontId="21" fillId="0" borderId="10" xfId="0" applyFont="1" applyBorder="1" applyAlignment="1">
      <alignment vertical="center"/>
    </xf>
    <xf numFmtId="0" fontId="21" fillId="0" borderId="0" xfId="0" applyFont="1" applyAlignment="1">
      <alignment horizontal="center" vertical="center"/>
    </xf>
    <xf numFmtId="3" fontId="21" fillId="35" borderId="0" xfId="0" applyNumberFormat="1" applyFont="1" applyFill="1" applyAlignment="1">
      <alignment vertical="center"/>
    </xf>
    <xf numFmtId="3" fontId="21" fillId="35" borderId="14" xfId="0" applyNumberFormat="1" applyFont="1" applyFill="1" applyBorder="1" applyAlignment="1">
      <alignment vertical="center"/>
    </xf>
    <xf numFmtId="3" fontId="21" fillId="33" borderId="14" xfId="0" applyNumberFormat="1" applyFont="1" applyFill="1" applyBorder="1" applyAlignment="1">
      <alignment vertical="center"/>
    </xf>
    <xf numFmtId="0" fontId="28" fillId="0" borderId="0" xfId="0" applyFont="1" applyAlignment="1">
      <alignment vertical="center"/>
    </xf>
    <xf numFmtId="3" fontId="21" fillId="33" borderId="13" xfId="0" applyNumberFormat="1" applyFont="1" applyFill="1" applyBorder="1" applyAlignment="1">
      <alignment vertical="center"/>
    </xf>
    <xf numFmtId="3" fontId="20" fillId="0" borderId="17" xfId="0" applyNumberFormat="1" applyFont="1" applyBorder="1" applyAlignment="1">
      <alignment horizontal="center" vertical="center" wrapText="1"/>
    </xf>
    <xf numFmtId="3" fontId="22" fillId="0" borderId="17" xfId="0" applyNumberFormat="1" applyFont="1" applyBorder="1" applyAlignment="1">
      <alignment horizontal="center" vertical="center" wrapText="1"/>
    </xf>
    <xf numFmtId="0" fontId="21" fillId="0" borderId="18" xfId="0" applyFont="1" applyBorder="1" applyAlignment="1">
      <alignment vertical="center"/>
    </xf>
    <xf numFmtId="0" fontId="21" fillId="0" borderId="19" xfId="0" applyFont="1" applyBorder="1" applyAlignment="1">
      <alignment vertical="center"/>
    </xf>
    <xf numFmtId="3" fontId="21" fillId="0" borderId="17" xfId="0" applyNumberFormat="1" applyFont="1" applyBorder="1" applyAlignment="1">
      <alignment vertical="center"/>
    </xf>
    <xf numFmtId="0" fontId="20" fillId="0" borderId="16" xfId="0" applyFont="1" applyBorder="1" applyAlignment="1">
      <alignment vertical="center"/>
    </xf>
    <xf numFmtId="3" fontId="20" fillId="0" borderId="14" xfId="0" applyNumberFormat="1" applyFont="1" applyBorder="1" applyAlignment="1">
      <alignment vertical="center"/>
    </xf>
    <xf numFmtId="0" fontId="21" fillId="0" borderId="16" xfId="0" applyFont="1" applyBorder="1" applyAlignment="1">
      <alignment vertical="center"/>
    </xf>
    <xf numFmtId="3" fontId="20" fillId="0" borderId="14" xfId="0" applyNumberFormat="1" applyFont="1" applyBorder="1" applyAlignment="1">
      <alignment horizontal="right" vertical="center"/>
    </xf>
    <xf numFmtId="0" fontId="20" fillId="0" borderId="20" xfId="0" applyFont="1" applyBorder="1" applyAlignment="1">
      <alignment vertical="center"/>
    </xf>
    <xf numFmtId="10" fontId="26" fillId="0" borderId="21" xfId="42" applyNumberFormat="1" applyFont="1" applyBorder="1" applyAlignment="1">
      <alignment vertical="center"/>
    </xf>
    <xf numFmtId="3" fontId="20" fillId="0" borderId="22" xfId="0" applyNumberFormat="1" applyFont="1" applyBorder="1" applyAlignment="1">
      <alignment vertical="center"/>
    </xf>
    <xf numFmtId="10" fontId="21" fillId="36" borderId="14" xfId="42" applyNumberFormat="1" applyFont="1" applyFill="1" applyBorder="1" applyAlignment="1">
      <alignment vertical="center"/>
    </xf>
    <xf numFmtId="10" fontId="21" fillId="0" borderId="0" xfId="0" applyNumberFormat="1" applyFont="1" applyAlignment="1">
      <alignment vertical="center"/>
    </xf>
    <xf numFmtId="0" fontId="21" fillId="36" borderId="15" xfId="0" applyFont="1" applyFill="1" applyBorder="1" applyAlignment="1">
      <alignment vertical="center"/>
    </xf>
    <xf numFmtId="10" fontId="21" fillId="36" borderId="15" xfId="42" applyNumberFormat="1" applyFont="1" applyFill="1" applyBorder="1" applyAlignment="1">
      <alignment vertical="center"/>
    </xf>
    <xf numFmtId="4" fontId="21" fillId="36" borderId="0" xfId="0" applyNumberFormat="1" applyFont="1" applyFill="1" applyAlignment="1">
      <alignment vertical="center"/>
    </xf>
    <xf numFmtId="3" fontId="21" fillId="0" borderId="11" xfId="0" applyNumberFormat="1" applyFont="1" applyBorder="1" applyAlignment="1">
      <alignment horizontal="center" vertical="center"/>
    </xf>
    <xf numFmtId="3" fontId="21" fillId="0" borderId="13" xfId="0" applyNumberFormat="1" applyFont="1" applyBorder="1" applyAlignment="1">
      <alignment horizontal="center" vertical="center"/>
    </xf>
    <xf numFmtId="3" fontId="30" fillId="0" borderId="0" xfId="0" applyNumberFormat="1" applyFont="1" applyAlignment="1">
      <alignment vertical="center"/>
    </xf>
    <xf numFmtId="0" fontId="30" fillId="0" borderId="0" xfId="0" applyFont="1" applyAlignment="1">
      <alignment vertical="center"/>
    </xf>
  </cellXfs>
  <cellStyles count="46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Insatisfaisant" xfId="7" builtinId="27" customBuiltin="1"/>
    <cellStyle name="Neutre" xfId="8" builtinId="28" customBuiltin="1"/>
    <cellStyle name="Normal" xfId="0" builtinId="0"/>
    <cellStyle name="Normal 2" xfId="43" xr:uid="{849AF1D7-38CA-4DD5-9F3D-272800045091}"/>
    <cellStyle name="Normal 3" xfId="44" xr:uid="{A9EF8D0B-321E-4815-87D1-2014122B7B20}"/>
    <cellStyle name="Normal 4" xfId="45" xr:uid="{1C263835-0971-4A3C-A947-1E67B28232EB}"/>
    <cellStyle name="Note" xfId="15" builtinId="10" customBuiltin="1"/>
    <cellStyle name="Pourcentage 2" xfId="42" xr:uid="{3EC28999-139C-4A64-9AC9-756D0FB666CB}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olumes/Popopidou/au%20travail/cinemadefacto/La%20Volante/Devis%20La%20Volante%20Cinemadefacto%20AU%203:Mexico%20Takami/DEVIS%20&#201;TUDE%20PSL%200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HI-FOU-MI/Desktop/210831%20%20DEVIS%20FFT%20v%205,4M%20EW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cques/Dropbox/L'ENFANT%20R&#202;V&#201;/DEVIS_L'ENFANT%20R&#202;V&#201;_FR-SUISSE%20R&#201;EL_annexe%201F_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jacques/Dropbox/DLGDR%20JOHANNA/DEVIS/LE%20REQUIN_DEVIS%2004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rédit d'impôts"/>
      <sheetName val="RECAP CNC"/>
      <sheetName val="TS"/>
      <sheetName val="ANNEX 1"/>
      <sheetName val="Annexe 2"/>
      <sheetName val="DEVIS Type Long"/>
      <sheetName val="Hébergement"/>
      <sheetName val="IK"/>
    </sheetNames>
    <sheetDataSet>
      <sheetData sheetId="0" refreshError="1"/>
      <sheetData sheetId="1" refreshError="1"/>
      <sheetData sheetId="2"/>
      <sheetData sheetId="3"/>
      <sheetData sheetId="4"/>
      <sheetData sheetId="5" refreshError="1"/>
      <sheetData sheetId="6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arametres"/>
      <sheetName val="Generalites"/>
      <sheetName val="Baremes Salaires"/>
      <sheetName val="Devis"/>
      <sheetName val="RESUME DEVIS"/>
    </sheetNames>
    <sheetDataSet>
      <sheetData sheetId="0">
        <row r="66">
          <cell r="F66" t="str">
            <v>FR</v>
          </cell>
        </row>
        <row r="67">
          <cell r="F67" t="str">
            <v>US</v>
          </cell>
        </row>
        <row r="68">
          <cell r="F68" t="str">
            <v>IT</v>
          </cell>
        </row>
        <row r="69">
          <cell r="F69" t="str">
            <v>BE</v>
          </cell>
        </row>
        <row r="70">
          <cell r="F70" t="str">
            <v>GB</v>
          </cell>
        </row>
      </sheetData>
      <sheetData sheetId="1">
        <row r="24">
          <cell r="I24">
            <v>0</v>
          </cell>
        </row>
        <row r="29">
          <cell r="D29">
            <v>10</v>
          </cell>
        </row>
        <row r="31">
          <cell r="D31">
            <v>10</v>
          </cell>
        </row>
        <row r="38">
          <cell r="D38">
            <v>32</v>
          </cell>
        </row>
        <row r="39">
          <cell r="D39">
            <v>6.4</v>
          </cell>
          <cell r="I39">
            <v>2.6</v>
          </cell>
        </row>
        <row r="40">
          <cell r="D40">
            <v>0</v>
          </cell>
        </row>
        <row r="41">
          <cell r="D41">
            <v>20</v>
          </cell>
          <cell r="I41">
            <v>3.8</v>
          </cell>
        </row>
        <row r="42">
          <cell r="D42">
            <v>10</v>
          </cell>
        </row>
        <row r="45">
          <cell r="D45">
            <v>0</v>
          </cell>
        </row>
        <row r="48">
          <cell r="D48">
            <v>20</v>
          </cell>
        </row>
        <row r="59">
          <cell r="D59">
            <v>18</v>
          </cell>
        </row>
        <row r="60">
          <cell r="D60">
            <v>3</v>
          </cell>
          <cell r="I60">
            <v>1</v>
          </cell>
        </row>
        <row r="61">
          <cell r="I61">
            <v>7</v>
          </cell>
        </row>
        <row r="64">
          <cell r="D64">
            <v>6</v>
          </cell>
          <cell r="I64">
            <v>12</v>
          </cell>
        </row>
        <row r="65">
          <cell r="I65">
            <v>1</v>
          </cell>
        </row>
        <row r="67">
          <cell r="I67">
            <v>3</v>
          </cell>
        </row>
      </sheetData>
      <sheetData sheetId="2"/>
      <sheetData sheetId="3">
        <row r="7">
          <cell r="Q7" t="str">
            <v/>
          </cell>
        </row>
      </sheetData>
      <sheetData sheetId="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eneralites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VIS Type Long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641BC-0FCA-40BB-9EB3-ED8A7467C6C5}">
  <dimension ref="A1:H57"/>
  <sheetViews>
    <sheetView tabSelected="1" topLeftCell="A21" zoomScale="130" zoomScaleNormal="130" workbookViewId="0">
      <selection activeCell="F43" sqref="F43"/>
    </sheetView>
  </sheetViews>
  <sheetFormatPr baseColWidth="10" defaultColWidth="11.5546875" defaultRowHeight="13.2" customHeight="1" x14ac:dyDescent="0.3"/>
  <cols>
    <col min="1" max="1" width="3.6640625" style="2" customWidth="1"/>
    <col min="2" max="2" width="30.109375" style="2" bestFit="1" customWidth="1"/>
    <col min="3" max="4" width="9.6640625" style="3" customWidth="1"/>
    <col min="5" max="5" width="9.6640625" style="2" customWidth="1"/>
    <col min="6" max="6" width="17.33203125" style="2" bestFit="1" customWidth="1"/>
    <col min="7" max="7" width="8.6640625" style="2" customWidth="1"/>
    <col min="8" max="8" width="9.6640625" style="2" customWidth="1"/>
    <col min="9" max="9" width="28.6640625" style="2" bestFit="1" customWidth="1"/>
    <col min="10" max="10" width="3" style="2" bestFit="1" customWidth="1"/>
    <col min="11" max="11" width="4.5546875" style="2" bestFit="1" customWidth="1"/>
    <col min="12" max="13" width="3" style="2" bestFit="1" customWidth="1"/>
    <col min="14" max="14" width="4.5546875" style="2" bestFit="1" customWidth="1"/>
    <col min="15" max="15" width="3.6640625" style="2" bestFit="1" customWidth="1"/>
    <col min="16" max="16" width="3" style="2" bestFit="1" customWidth="1"/>
    <col min="17" max="18" width="3.6640625" style="2" bestFit="1" customWidth="1"/>
    <col min="19" max="19" width="4.5546875" style="2" bestFit="1" customWidth="1"/>
    <col min="20" max="20" width="3.5546875" style="2" bestFit="1" customWidth="1"/>
    <col min="21" max="16384" width="11.5546875" style="2"/>
  </cols>
  <sheetData>
    <row r="1" spans="1:8" ht="13.2" customHeight="1" x14ac:dyDescent="0.3">
      <c r="A1" s="1"/>
    </row>
    <row r="2" spans="1:8" ht="13.2" customHeight="1" x14ac:dyDescent="0.3">
      <c r="A2" s="36" t="s">
        <v>51</v>
      </c>
    </row>
    <row r="3" spans="1:8" ht="25.95" customHeight="1" x14ac:dyDescent="0.3">
      <c r="A3" s="1" t="s">
        <v>0</v>
      </c>
      <c r="C3" s="38" t="s">
        <v>1</v>
      </c>
      <c r="D3" s="39" t="s">
        <v>2</v>
      </c>
    </row>
    <row r="4" spans="1:8" ht="13.2" customHeight="1" x14ac:dyDescent="0.3">
      <c r="A4" s="40"/>
      <c r="B4" s="41"/>
      <c r="C4" s="42"/>
      <c r="D4" s="42"/>
      <c r="G4" s="32"/>
    </row>
    <row r="5" spans="1:8" ht="13.2" customHeight="1" x14ac:dyDescent="0.3">
      <c r="A5" s="43" t="s">
        <v>3</v>
      </c>
      <c r="B5" s="1"/>
      <c r="C5" s="4"/>
      <c r="D5" s="44">
        <f>SUM(C6:C18)</f>
        <v>7128867.96</v>
      </c>
      <c r="E5" s="3"/>
      <c r="G5" s="3">
        <f>-D5+7011325+108415+(815+500+7812.96)</f>
        <v>3.637978807091713E-11</v>
      </c>
      <c r="H5" s="3" t="s">
        <v>49</v>
      </c>
    </row>
    <row r="6" spans="1:8" ht="13.2" customHeight="1" x14ac:dyDescent="0.3">
      <c r="A6" s="45">
        <v>706</v>
      </c>
      <c r="B6" s="2" t="s">
        <v>4</v>
      </c>
      <c r="C6" s="35">
        <v>0</v>
      </c>
      <c r="D6" s="4"/>
      <c r="E6" s="3"/>
      <c r="G6" s="3"/>
      <c r="H6" s="3"/>
    </row>
    <row r="7" spans="1:8" ht="13.2" customHeight="1" x14ac:dyDescent="0.3">
      <c r="A7" s="45"/>
      <c r="B7" s="2" t="s">
        <v>5</v>
      </c>
      <c r="C7" s="35">
        <v>0</v>
      </c>
      <c r="D7" s="4"/>
    </row>
    <row r="8" spans="1:8" ht="13.2" customHeight="1" x14ac:dyDescent="0.3">
      <c r="A8" s="45"/>
      <c r="B8" s="2" t="s">
        <v>6</v>
      </c>
      <c r="C8" s="35">
        <v>0</v>
      </c>
      <c r="D8" s="4"/>
    </row>
    <row r="9" spans="1:8" ht="13.2" customHeight="1" x14ac:dyDescent="0.3">
      <c r="A9" s="45">
        <v>708</v>
      </c>
      <c r="B9" s="2" t="s">
        <v>7</v>
      </c>
      <c r="C9" s="35">
        <f>7011325+108415+815+500+7812.96</f>
        <v>7128867.96</v>
      </c>
      <c r="D9" s="4"/>
    </row>
    <row r="10" spans="1:8" ht="13.2" customHeight="1" x14ac:dyDescent="0.3">
      <c r="A10" s="45"/>
      <c r="B10" s="2" t="s">
        <v>8</v>
      </c>
      <c r="C10" s="4"/>
      <c r="D10" s="4"/>
      <c r="E10" s="37">
        <f>SUM(C6:C9)+C12+C16</f>
        <v>7128867.96</v>
      </c>
    </row>
    <row r="11" spans="1:8" ht="13.2" customHeight="1" x14ac:dyDescent="0.3">
      <c r="A11" s="45">
        <v>751</v>
      </c>
      <c r="B11" s="2" t="s">
        <v>9</v>
      </c>
      <c r="C11" s="4">
        <v>0</v>
      </c>
      <c r="D11" s="4"/>
    </row>
    <row r="12" spans="1:8" ht="13.2" customHeight="1" x14ac:dyDescent="0.3">
      <c r="A12" s="45">
        <v>757</v>
      </c>
      <c r="B12" s="2" t="s">
        <v>47</v>
      </c>
      <c r="C12" s="35">
        <v>0</v>
      </c>
      <c r="D12" s="4"/>
      <c r="G12" s="3">
        <v>0</v>
      </c>
    </row>
    <row r="13" spans="1:8" ht="13.2" customHeight="1" x14ac:dyDescent="0.3">
      <c r="A13" s="45">
        <v>757</v>
      </c>
      <c r="B13" s="2" t="s">
        <v>48</v>
      </c>
      <c r="C13" s="4">
        <v>0</v>
      </c>
      <c r="D13" s="4"/>
      <c r="G13" s="3">
        <v>0</v>
      </c>
    </row>
    <row r="14" spans="1:8" ht="13.2" customHeight="1" x14ac:dyDescent="0.3">
      <c r="A14" s="45">
        <v>758</v>
      </c>
      <c r="B14" s="2" t="s">
        <v>10</v>
      </c>
      <c r="C14" s="4">
        <v>0</v>
      </c>
      <c r="D14" s="4"/>
      <c r="G14" s="3">
        <v>0</v>
      </c>
    </row>
    <row r="15" spans="1:8" ht="13.2" customHeight="1" x14ac:dyDescent="0.3">
      <c r="A15" s="45">
        <v>775</v>
      </c>
      <c r="B15" s="2" t="s">
        <v>45</v>
      </c>
      <c r="C15" s="4">
        <v>0</v>
      </c>
      <c r="D15" s="4"/>
      <c r="G15" s="3">
        <v>0</v>
      </c>
    </row>
    <row r="16" spans="1:8" ht="13.2" customHeight="1" x14ac:dyDescent="0.3">
      <c r="A16" s="45">
        <v>791</v>
      </c>
      <c r="B16" s="2" t="s">
        <v>11</v>
      </c>
      <c r="C16" s="35">
        <v>0</v>
      </c>
      <c r="D16" s="4"/>
      <c r="G16" s="31"/>
    </row>
    <row r="17" spans="1:8" ht="13.2" customHeight="1" x14ac:dyDescent="0.3">
      <c r="A17" s="45"/>
      <c r="B17" s="2" t="s">
        <v>12</v>
      </c>
      <c r="C17" s="34">
        <f>-E17+G17</f>
        <v>0</v>
      </c>
      <c r="D17" s="4"/>
      <c r="E17" s="29">
        <v>0</v>
      </c>
      <c r="G17" s="33">
        <f>SUM(G10:G16)</f>
        <v>0</v>
      </c>
    </row>
    <row r="18" spans="1:8" ht="13.2" customHeight="1" x14ac:dyDescent="0.3">
      <c r="A18" s="45"/>
      <c r="C18" s="4"/>
      <c r="D18" s="4"/>
    </row>
    <row r="19" spans="1:8" ht="13.2" customHeight="1" x14ac:dyDescent="0.3">
      <c r="A19" s="43" t="s">
        <v>13</v>
      </c>
      <c r="B19" s="1"/>
      <c r="C19" s="4"/>
      <c r="D19" s="44">
        <f>SUM(C20:C28)</f>
        <v>3012670.2</v>
      </c>
      <c r="G19" s="3">
        <f>-D19+7276584.35-85602.27-4181525.56-5914.28+(815+500+7812.96)</f>
        <v>-6.3300831243395805E-10</v>
      </c>
      <c r="H19" s="3" t="s">
        <v>50</v>
      </c>
    </row>
    <row r="20" spans="1:8" ht="13.2" customHeight="1" x14ac:dyDescent="0.3">
      <c r="A20" s="45">
        <v>60</v>
      </c>
      <c r="B20" s="2" t="s">
        <v>14</v>
      </c>
      <c r="C20" s="4">
        <f>974558.71+815+7812.96</f>
        <v>983186.66999999993</v>
      </c>
      <c r="D20" s="4"/>
      <c r="H20" s="3"/>
    </row>
    <row r="21" spans="1:8" ht="13.2" customHeight="1" x14ac:dyDescent="0.3">
      <c r="A21" s="45">
        <v>61</v>
      </c>
      <c r="B21" s="2" t="s">
        <v>15</v>
      </c>
      <c r="C21" s="4">
        <f>-E22-E23+713093.55</f>
        <v>713093.55</v>
      </c>
      <c r="D21" s="4"/>
      <c r="H21" s="3"/>
    </row>
    <row r="22" spans="1:8" ht="13.2" customHeight="1" x14ac:dyDescent="0.3">
      <c r="A22" s="45"/>
      <c r="B22" s="2" t="s">
        <v>16</v>
      </c>
      <c r="C22" s="4"/>
      <c r="D22" s="4"/>
      <c r="E22" s="29">
        <v>0</v>
      </c>
      <c r="F22" s="5"/>
      <c r="H22" s="3"/>
    </row>
    <row r="23" spans="1:8" ht="13.2" customHeight="1" x14ac:dyDescent="0.3">
      <c r="A23" s="45"/>
      <c r="B23" s="6" t="s">
        <v>17</v>
      </c>
      <c r="C23" s="4"/>
      <c r="D23" s="4"/>
      <c r="E23" s="29">
        <v>0</v>
      </c>
      <c r="F23" s="6"/>
      <c r="H23" s="3"/>
    </row>
    <row r="24" spans="1:8" ht="13.2" customHeight="1" x14ac:dyDescent="0.3">
      <c r="A24" s="45">
        <v>62</v>
      </c>
      <c r="B24" s="2" t="s">
        <v>18</v>
      </c>
      <c r="C24" s="4">
        <f>995875.34</f>
        <v>995875.34</v>
      </c>
      <c r="D24" s="4"/>
    </row>
    <row r="25" spans="1:8" ht="13.2" customHeight="1" x14ac:dyDescent="0.3">
      <c r="A25" s="45"/>
      <c r="B25" s="2" t="s">
        <v>19</v>
      </c>
      <c r="C25" s="4"/>
      <c r="D25" s="4"/>
      <c r="E25" s="29">
        <f>SUM(C20:C24)</f>
        <v>2692155.56</v>
      </c>
    </row>
    <row r="26" spans="1:8" ht="13.2" customHeight="1" x14ac:dyDescent="0.3">
      <c r="A26" s="45">
        <v>65</v>
      </c>
      <c r="B26" s="2" t="s">
        <v>20</v>
      </c>
      <c r="C26" s="4">
        <f>-E27+320014.64+500</f>
        <v>320514.64</v>
      </c>
      <c r="D26" s="4"/>
    </row>
    <row r="27" spans="1:8" ht="13.2" customHeight="1" x14ac:dyDescent="0.3">
      <c r="A27" s="45"/>
      <c r="B27" s="2" t="s">
        <v>21</v>
      </c>
      <c r="C27" s="4"/>
      <c r="D27" s="4"/>
      <c r="E27" s="29">
        <v>0</v>
      </c>
    </row>
    <row r="28" spans="1:8" ht="13.2" customHeight="1" x14ac:dyDescent="0.3">
      <c r="A28" s="45"/>
      <c r="C28" s="4"/>
      <c r="D28" s="4"/>
    </row>
    <row r="29" spans="1:8" ht="13.2" customHeight="1" x14ac:dyDescent="0.3">
      <c r="A29" s="43" t="s">
        <v>22</v>
      </c>
      <c r="C29" s="4"/>
      <c r="D29" s="46">
        <f>+D5-D19</f>
        <v>4116197.76</v>
      </c>
    </row>
    <row r="30" spans="1:8" ht="13.2" customHeight="1" x14ac:dyDescent="0.3">
      <c r="A30" s="45" t="s">
        <v>23</v>
      </c>
      <c r="C30" s="50">
        <f>+C45</f>
        <v>3.4999999999999996E-3</v>
      </c>
      <c r="D30" s="4"/>
    </row>
    <row r="31" spans="1:8" ht="13.2" customHeight="1" x14ac:dyDescent="0.3">
      <c r="A31" s="45"/>
      <c r="C31" s="7"/>
      <c r="D31" s="4"/>
    </row>
    <row r="32" spans="1:8" ht="13.2" customHeight="1" x14ac:dyDescent="0.3">
      <c r="A32" s="28" t="s">
        <v>24</v>
      </c>
      <c r="B32" s="8"/>
      <c r="C32" s="9"/>
      <c r="D32" s="30">
        <f>IF(D52&lt;=63,IF(E10&lt;G32,0,63),D52)</f>
        <v>14406.692159999997</v>
      </c>
      <c r="E32" s="51"/>
      <c r="F32" s="10" t="s">
        <v>25</v>
      </c>
      <c r="G32" s="11">
        <v>500000</v>
      </c>
    </row>
    <row r="33" spans="1:7" ht="13.2" customHeight="1" x14ac:dyDescent="0.3">
      <c r="A33" s="28" t="s">
        <v>26</v>
      </c>
      <c r="B33" s="8"/>
      <c r="C33" s="12">
        <v>6.9199999999999998E-2</v>
      </c>
      <c r="D33" s="27">
        <f>+D32*C33</f>
        <v>996.94309747199975</v>
      </c>
    </row>
    <row r="34" spans="1:7" ht="13.2" customHeight="1" x14ac:dyDescent="0.3">
      <c r="A34" s="28" t="s">
        <v>27</v>
      </c>
      <c r="B34" s="8"/>
      <c r="C34" s="13">
        <v>0.01</v>
      </c>
      <c r="D34" s="27">
        <f>SUM(D32+D33)*C34</f>
        <v>154.03635257471998</v>
      </c>
    </row>
    <row r="35" spans="1:7" ht="13.2" customHeight="1" x14ac:dyDescent="0.3">
      <c r="A35" s="47" t="s">
        <v>28</v>
      </c>
      <c r="B35" s="31"/>
      <c r="C35" s="48"/>
      <c r="D35" s="49">
        <f>SUM(D32:D34)</f>
        <v>15557.671610046717</v>
      </c>
    </row>
    <row r="36" spans="1:7" s="14" customFormat="1" ht="6" customHeight="1" x14ac:dyDescent="0.3">
      <c r="C36" s="15"/>
      <c r="D36" s="16"/>
      <c r="F36" s="2"/>
      <c r="G36" s="2"/>
    </row>
    <row r="37" spans="1:7" s="14" customFormat="1" ht="13.2" customHeight="1" x14ac:dyDescent="0.3">
      <c r="B37" s="14" t="s">
        <v>52</v>
      </c>
      <c r="C37" s="15"/>
      <c r="D37" s="16">
        <v>0</v>
      </c>
    </row>
    <row r="38" spans="1:7" s="14" customFormat="1" ht="6" customHeight="1" x14ac:dyDescent="0.3">
      <c r="C38" s="15"/>
      <c r="D38" s="16"/>
    </row>
    <row r="39" spans="1:7" s="14" customFormat="1" ht="13.2" customHeight="1" x14ac:dyDescent="0.3">
      <c r="B39" s="17" t="str">
        <f xml:space="preserve"> IF(D35&lt;0," ",IF(D37&gt;D35,"TROP PROVISIONNE DE","PROVISION A FAIRE"))</f>
        <v>PROVISION A FAIRE</v>
      </c>
      <c r="C39" s="15"/>
      <c r="D39" s="16">
        <f>IF(D35&lt;0," ",D35-D37)</f>
        <v>15557.671610046717</v>
      </c>
      <c r="E39" s="57">
        <v>9000</v>
      </c>
      <c r="F39" s="58" t="s">
        <v>53</v>
      </c>
    </row>
    <row r="40" spans="1:7" ht="13.2" customHeight="1" x14ac:dyDescent="0.3">
      <c r="A40" s="1"/>
    </row>
    <row r="41" spans="1:7" ht="13.2" customHeight="1" x14ac:dyDescent="0.3">
      <c r="A41" s="2" t="s">
        <v>29</v>
      </c>
      <c r="B41" s="18" t="s">
        <v>30</v>
      </c>
      <c r="C41" s="19" t="s">
        <v>31</v>
      </c>
    </row>
    <row r="42" spans="1:7" ht="13.2" customHeight="1" x14ac:dyDescent="0.3">
      <c r="B42" s="18" t="s">
        <v>32</v>
      </c>
      <c r="C42" s="20">
        <v>0</v>
      </c>
    </row>
    <row r="43" spans="1:7" ht="13.2" customHeight="1" x14ac:dyDescent="0.3">
      <c r="B43" s="18" t="s">
        <v>33</v>
      </c>
      <c r="C43" s="21">
        <f>ROUND((SUM(0.125*SUM($E$10-500000))/2500000),2)/100</f>
        <v>3.3E-3</v>
      </c>
    </row>
    <row r="44" spans="1:7" ht="13.2" customHeight="1" x14ac:dyDescent="0.3">
      <c r="B44" s="22" t="s">
        <v>34</v>
      </c>
      <c r="C44" s="23">
        <f>ROUND((SUM(SUM(0.225*SUM($E$10-3000000))/7000000)+0.125),2)/100</f>
        <v>2.5999999999999999E-3</v>
      </c>
      <c r="D44" s="24"/>
    </row>
    <row r="45" spans="1:7" ht="13.2" customHeight="1" x14ac:dyDescent="0.3">
      <c r="B45" s="52" t="s">
        <v>35</v>
      </c>
      <c r="C45" s="53">
        <f>ROUND((SUM(SUM(0.0025*SUM($E$10-10000000))/40000000)+0.35),2)/100</f>
        <v>3.4999999999999996E-3</v>
      </c>
      <c r="D45" s="54" t="s">
        <v>46</v>
      </c>
    </row>
    <row r="46" spans="1:7" ht="13.2" customHeight="1" x14ac:dyDescent="0.3">
      <c r="B46" s="18" t="s">
        <v>36</v>
      </c>
      <c r="C46" s="25">
        <f>ROUND(0.375,2)/100</f>
        <v>3.8E-3</v>
      </c>
      <c r="D46" s="24"/>
    </row>
    <row r="47" spans="1:7" ht="6" customHeight="1" x14ac:dyDescent="0.3"/>
    <row r="48" spans="1:7" ht="13.2" customHeight="1" x14ac:dyDescent="0.3">
      <c r="A48" s="26"/>
      <c r="B48" s="26" t="s">
        <v>37</v>
      </c>
    </row>
    <row r="49" spans="2:5" ht="13.2" customHeight="1" x14ac:dyDescent="0.3">
      <c r="B49" s="18" t="s">
        <v>30</v>
      </c>
      <c r="C49" s="19" t="s">
        <v>38</v>
      </c>
      <c r="D49" s="19" t="s">
        <v>39</v>
      </c>
    </row>
    <row r="50" spans="2:5" ht="13.2" customHeight="1" x14ac:dyDescent="0.3">
      <c r="B50" s="18" t="s">
        <v>40</v>
      </c>
      <c r="C50" s="27">
        <f>IF(($C$7+$C$8+$C$9)&lt;=7600000,($C$7+$C$8+$C$9)*80%,0)</f>
        <v>5703094.3680000007</v>
      </c>
      <c r="D50" s="27">
        <f>IF($D$29&lt;=C50,$D$29*$C$30,C50*$C$30)</f>
        <v>14406.692159999997</v>
      </c>
    </row>
    <row r="51" spans="2:5" ht="13.2" customHeight="1" x14ac:dyDescent="0.3">
      <c r="B51" s="18" t="s">
        <v>41</v>
      </c>
      <c r="C51" s="27">
        <f>IF(($C$7+$C$8+$C$9)&gt;7600000,($C$7+$C$8+$C$9)*85%,0)</f>
        <v>0</v>
      </c>
      <c r="D51" s="27">
        <f>IF($D$29&gt;C51,C51*$C$30,$D$29*$C$30)</f>
        <v>0</v>
      </c>
    </row>
    <row r="52" spans="2:5" ht="13.2" customHeight="1" x14ac:dyDescent="0.3">
      <c r="D52" s="30">
        <f>SUM(D50:D51)</f>
        <v>14406.692159999997</v>
      </c>
    </row>
    <row r="53" spans="2:5" ht="6" customHeight="1" x14ac:dyDescent="0.3"/>
    <row r="54" spans="2:5" ht="13.2" customHeight="1" x14ac:dyDescent="0.3">
      <c r="B54" s="28" t="s">
        <v>42</v>
      </c>
      <c r="C54" s="55" t="s">
        <v>24</v>
      </c>
      <c r="D54" s="56"/>
    </row>
    <row r="55" spans="2:5" ht="13.2" customHeight="1" x14ac:dyDescent="0.3">
      <c r="B55" s="28" t="s">
        <v>43</v>
      </c>
      <c r="C55" s="29"/>
      <c r="D55" s="27">
        <f>IF($E$10&lt;2000000,(IF((D50+D51)&lt;=500,0,((D50+D51)-500))),0)</f>
        <v>0</v>
      </c>
    </row>
    <row r="56" spans="2:5" ht="13.2" customHeight="1" x14ac:dyDescent="0.3">
      <c r="B56" s="28" t="s">
        <v>44</v>
      </c>
      <c r="C56" s="29"/>
      <c r="D56" s="27">
        <f>IF($E$10&gt;=2000000,(D50+D51),0)</f>
        <v>14406.692159999997</v>
      </c>
    </row>
    <row r="57" spans="2:5" ht="13.2" customHeight="1" x14ac:dyDescent="0.3">
      <c r="D57" s="27">
        <f>IF(SUM(D55:D56)&gt;0,SUM(D55:D56),125)</f>
        <v>14406.692159999997</v>
      </c>
      <c r="E57" s="2" t="str">
        <f>IF(D57=250,"Minimum"," ")</f>
        <v xml:space="preserve"> </v>
      </c>
    </row>
  </sheetData>
  <mergeCells count="1">
    <mergeCell ref="C54:D54"/>
  </mergeCells>
  <printOptions horizontalCentered="1"/>
  <pageMargins left="0" right="0" top="0.78740157480314965" bottom="0.19685039370078741" header="0.51181102362204722" footer="0.11811023622047245"/>
  <pageSetup paperSize="9" orientation="portrait" r:id="rId1"/>
  <headerFooter>
    <oddHeader>&amp;L&amp;"-,Gras"&amp;14CHIFOUMI PRODUCTIONS&amp;C&amp;"-,Gras"&amp;16CALCUL CVAE</oddHeader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CVAE TAUX 30.09.2023 </vt:lpstr>
      <vt:lpstr>'CVAE TAUX 30.09.2023 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</dc:creator>
  <cp:lastModifiedBy>Elisabeth Wittersheim</cp:lastModifiedBy>
  <cp:lastPrinted>2023-09-11T16:48:11Z</cp:lastPrinted>
  <dcterms:created xsi:type="dcterms:W3CDTF">2017-06-07T10:59:48Z</dcterms:created>
  <dcterms:modified xsi:type="dcterms:W3CDTF">2023-11-05T18:39:33Z</dcterms:modified>
</cp:coreProperties>
</file>